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<sst xmlns="http://schemas.openxmlformats.org/spreadsheetml/2006/main" count="860" uniqueCount="261">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</sst>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12" sqref="I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/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240</v>
      </c>
      <c r="N3" s="201" t="s">
        <v>241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237</v>
      </c>
      <c r="F4" s="206" t="s">
        <v>116</v>
      </c>
      <c r="G4" s="208" t="s">
        <v>238</v>
      </c>
      <c r="H4" s="210" t="s">
        <v>239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260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242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170674.27000000002</v>
      </c>
      <c r="G8" s="18">
        <f aca="true" t="shared" si="0" ref="G8:G47">F8-E8</f>
        <v>-6720.659999999974</v>
      </c>
      <c r="H8" s="45">
        <f>F8/E8*100</f>
        <v>96.21147007978189</v>
      </c>
      <c r="I8" s="31">
        <f aca="true" t="shared" si="1" ref="I8:I47">F8-D8</f>
        <v>-346754.73</v>
      </c>
      <c r="J8" s="31">
        <f aca="true" t="shared" si="2" ref="J8:J15">F8/D8*100</f>
        <v>32.985060752296455</v>
      </c>
      <c r="K8" s="18">
        <f>K10+K19+K31+K34+K35+K47</f>
        <v>19029.200000000004</v>
      </c>
      <c r="L8" s="18"/>
      <c r="M8" s="18">
        <f>M10+M19+M31+M34+M35+M47+M30</f>
        <v>41736.35</v>
      </c>
      <c r="N8" s="18">
        <f>N10+N19+N31+N34+N35+N47+N30</f>
        <v>31191.49000000001</v>
      </c>
      <c r="O8" s="31">
        <f aca="true" t="shared" si="3" ref="O8:O50">N8-M8</f>
        <v>-10544.85999999999</v>
      </c>
      <c r="P8" s="31">
        <f>F8/M8*100</f>
        <v>408.93434619941615</v>
      </c>
      <c r="Q8" s="31">
        <f>N8-33748.16</f>
        <v>-2556.6699999999946</v>
      </c>
      <c r="R8" s="125">
        <f>N8/33748.16</f>
        <v>0.9242426846382145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100255.53</v>
      </c>
      <c r="G9" s="18">
        <f t="shared" si="0"/>
        <v>100255.53</v>
      </c>
      <c r="H9" s="16"/>
      <c r="I9" s="50">
        <f t="shared" si="1"/>
        <v>-212434.47</v>
      </c>
      <c r="J9" s="50">
        <f t="shared" si="2"/>
        <v>32.0622757363523</v>
      </c>
      <c r="K9" s="50"/>
      <c r="L9" s="50"/>
      <c r="M9" s="16">
        <f>M10+M17</f>
        <v>25134</v>
      </c>
      <c r="N9" s="16">
        <f>N10+N17</f>
        <v>21818.03</v>
      </c>
      <c r="O9" s="31">
        <f t="shared" si="3"/>
        <v>-3315.970000000001</v>
      </c>
      <c r="P9" s="50">
        <f>F9/M9*100</f>
        <v>398.8841012174743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100255.53</v>
      </c>
      <c r="G10" s="43">
        <f t="shared" si="0"/>
        <v>-1392.449999999997</v>
      </c>
      <c r="H10" s="35">
        <f aca="true" t="shared" si="4" ref="H10:H47">F10/E10*100</f>
        <v>98.63012526171204</v>
      </c>
      <c r="I10" s="50">
        <f t="shared" si="1"/>
        <v>-212434.47</v>
      </c>
      <c r="J10" s="50">
        <f t="shared" si="2"/>
        <v>32.0622757363523</v>
      </c>
      <c r="K10" s="132">
        <f>F10-117120.15/75*60</f>
        <v>6559.4100000000035</v>
      </c>
      <c r="L10" s="132">
        <f>F10/(117120.15/75*60)*100</f>
        <v>107.00072745808471</v>
      </c>
      <c r="M10" s="35">
        <f>E10-березень!E10</f>
        <v>25134</v>
      </c>
      <c r="N10" s="35">
        <f>F10-березень!F10</f>
        <v>21818.03</v>
      </c>
      <c r="O10" s="47">
        <f t="shared" si="3"/>
        <v>-3315.970000000001</v>
      </c>
      <c r="P10" s="50">
        <f aca="true" t="shared" si="5" ref="P10:P47">N10/M10*100</f>
        <v>86.80683536245722</v>
      </c>
      <c r="Q10" s="132">
        <f>N10-26568.11</f>
        <v>-4750.080000000002</v>
      </c>
      <c r="R10" s="133">
        <f>N10/26568.11</f>
        <v>0.8212112190140736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88614.67</v>
      </c>
      <c r="G11" s="135">
        <f t="shared" si="0"/>
        <v>-956.9100000000035</v>
      </c>
      <c r="H11" s="137">
        <f t="shared" si="4"/>
        <v>98.93168123192646</v>
      </c>
      <c r="I11" s="136">
        <f t="shared" si="1"/>
        <v>-151795.33000000002</v>
      </c>
      <c r="J11" s="136">
        <f t="shared" si="2"/>
        <v>36.85981032402978</v>
      </c>
      <c r="K11" s="136">
        <f>F11-106961.61/75*60</f>
        <v>3045.381999999998</v>
      </c>
      <c r="L11" s="136">
        <f>F11/(106961.61/75*60)*100</f>
        <v>103.5589661561751</v>
      </c>
      <c r="M11" s="137">
        <f>E11-березень!E11</f>
        <v>89571.58</v>
      </c>
      <c r="N11" s="137">
        <f>F11-березень!F11</f>
        <v>88614.67</v>
      </c>
      <c r="O11" s="138">
        <f t="shared" si="3"/>
        <v>-956.9100000000035</v>
      </c>
      <c r="P11" s="136">
        <f t="shared" si="5"/>
        <v>98.93168123192646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5987.46</v>
      </c>
      <c r="G12" s="135">
        <f t="shared" si="0"/>
        <v>-960.54</v>
      </c>
      <c r="H12" s="137">
        <f t="shared" si="4"/>
        <v>86.17530224525044</v>
      </c>
      <c r="I12" s="136">
        <f t="shared" si="1"/>
        <v>-17712.54</v>
      </c>
      <c r="J12" s="136">
        <f t="shared" si="2"/>
        <v>25.26354430379747</v>
      </c>
      <c r="K12" s="136">
        <f>F12-6905.65/75*60</f>
        <v>462.9399999999996</v>
      </c>
      <c r="L12" s="136">
        <f>F12/(6905.65/75*60)*100</f>
        <v>108.37973253784942</v>
      </c>
      <c r="M12" s="137">
        <f>E12-березень!E12</f>
        <v>6948</v>
      </c>
      <c r="N12" s="137">
        <f>F12-березень!F12</f>
        <v>5987.46</v>
      </c>
      <c r="O12" s="138">
        <f t="shared" si="3"/>
        <v>-960.54</v>
      </c>
      <c r="P12" s="136">
        <f t="shared" si="5"/>
        <v>86.17530224525044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1514.12</v>
      </c>
      <c r="G13" s="135">
        <f t="shared" si="0"/>
        <v>-204.8800000000001</v>
      </c>
      <c r="H13" s="137">
        <f t="shared" si="4"/>
        <v>88.08144269924374</v>
      </c>
      <c r="I13" s="136">
        <f t="shared" si="1"/>
        <v>-4285.88</v>
      </c>
      <c r="J13" s="136">
        <f t="shared" si="2"/>
        <v>26.105517241379307</v>
      </c>
      <c r="K13" s="136">
        <f>F13-1478.58/75*60</f>
        <v>331.2560000000001</v>
      </c>
      <c r="L13" s="136">
        <f>F13/(1478.58/75*60)*100</f>
        <v>128.00457195417226</v>
      </c>
      <c r="M13" s="137">
        <f>E13-березень!E13</f>
        <v>1719</v>
      </c>
      <c r="N13" s="137">
        <f>F13-березень!F13</f>
        <v>1514.12</v>
      </c>
      <c r="O13" s="138">
        <f t="shared" si="3"/>
        <v>-204.8800000000001</v>
      </c>
      <c r="P13" s="136">
        <f t="shared" si="5"/>
        <v>88.08144269924374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1407.73</v>
      </c>
      <c r="G14" s="135">
        <f t="shared" si="0"/>
        <v>-747.6700000000001</v>
      </c>
      <c r="H14" s="137">
        <f t="shared" si="4"/>
        <v>65.31177507655191</v>
      </c>
      <c r="I14" s="136">
        <f t="shared" si="1"/>
        <v>-6992.27</v>
      </c>
      <c r="J14" s="136">
        <f t="shared" si="2"/>
        <v>16.758690476190477</v>
      </c>
      <c r="K14" s="136">
        <f>F14-1774.3/75*60</f>
        <v>-11.710000000000036</v>
      </c>
      <c r="L14" s="136">
        <f>F14/(1774.3/75*60)*100</f>
        <v>99.175026771121</v>
      </c>
      <c r="M14" s="137">
        <f>E14-березень!E14</f>
        <v>2155.4</v>
      </c>
      <c r="N14" s="137">
        <f>F14-березень!F14</f>
        <v>1407.73</v>
      </c>
      <c r="O14" s="138">
        <f t="shared" si="3"/>
        <v>-747.6700000000001</v>
      </c>
      <c r="P14" s="136">
        <f t="shared" si="5"/>
        <v>65.31177507655191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2731.55</v>
      </c>
      <c r="G15" s="135">
        <f t="shared" si="0"/>
        <v>1477.5500000000002</v>
      </c>
      <c r="H15" s="137">
        <f t="shared" si="4"/>
        <v>217.8269537480064</v>
      </c>
      <c r="I15" s="136">
        <f t="shared" si="1"/>
        <v>-1648.4499999999998</v>
      </c>
      <c r="J15" s="136">
        <f t="shared" si="2"/>
        <v>62.36415525114156</v>
      </c>
      <c r="K15" s="136">
        <f>F15-0</f>
        <v>2731.55</v>
      </c>
      <c r="L15" s="136"/>
      <c r="M15" s="137">
        <f>E15-березень!E15</f>
        <v>1254</v>
      </c>
      <c r="N15" s="137">
        <f>F15-березень!F15</f>
        <v>2731.55</v>
      </c>
      <c r="O15" s="138">
        <f t="shared" si="3"/>
        <v>1477.5500000000002</v>
      </c>
      <c r="P15" s="136">
        <f t="shared" si="5"/>
        <v>217.8269537480064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10599.06</v>
      </c>
      <c r="G34" s="43">
        <f t="shared" si="0"/>
        <v>-2063.6900000000005</v>
      </c>
      <c r="H34" s="35">
        <f t="shared" si="4"/>
        <v>83.7026712207064</v>
      </c>
      <c r="I34" s="50">
        <f t="shared" si="1"/>
        <v>-19350.940000000002</v>
      </c>
      <c r="J34" s="178">
        <f>F34/D34*100</f>
        <v>35.38918196994991</v>
      </c>
      <c r="K34" s="179">
        <f>F34-0</f>
        <v>10599.06</v>
      </c>
      <c r="L34" s="180"/>
      <c r="M34" s="35">
        <f>E34-березень!E33</f>
        <v>2722.75</v>
      </c>
      <c r="N34" s="35">
        <f>F34-березень!F33</f>
        <v>528.5799999999999</v>
      </c>
      <c r="O34" s="47">
        <f t="shared" si="3"/>
        <v>-2194.17</v>
      </c>
      <c r="P34" s="50">
        <f t="shared" si="5"/>
        <v>19.41346065558718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58711.280000000006</v>
      </c>
      <c r="G35" s="43">
        <f t="shared" si="0"/>
        <v>-2194.219999999994</v>
      </c>
      <c r="H35" s="35">
        <f t="shared" si="4"/>
        <v>96.39733685791924</v>
      </c>
      <c r="I35" s="50">
        <f t="shared" si="1"/>
        <v>-108058.72</v>
      </c>
      <c r="J35" s="178">
        <f aca="true" t="shared" si="11" ref="J35:J47">F35/D35*100</f>
        <v>35.2049409366193</v>
      </c>
      <c r="K35" s="178">
        <f>K36+K40+K41+K42</f>
        <v>3936.680000000002</v>
      </c>
      <c r="L35" s="136"/>
      <c r="M35" s="35">
        <f>E35-березень!E34</f>
        <v>13870.5</v>
      </c>
      <c r="N35" s="35">
        <f>F35-березень!F34</f>
        <v>8732.30000000001</v>
      </c>
      <c r="O35" s="47">
        <f t="shared" si="3"/>
        <v>-5138.19999999999</v>
      </c>
      <c r="P35" s="50">
        <f t="shared" si="5"/>
        <v>62.95591362964572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28041.73</v>
      </c>
      <c r="G36" s="43">
        <f t="shared" si="0"/>
        <v>-3811.2700000000004</v>
      </c>
      <c r="H36" s="35">
        <f t="shared" si="4"/>
        <v>88.03481618685838</v>
      </c>
      <c r="I36" s="50">
        <f t="shared" si="1"/>
        <v>-70158.27</v>
      </c>
      <c r="J36" s="178">
        <f t="shared" si="11"/>
        <v>28.55573319755601</v>
      </c>
      <c r="K36" s="178">
        <f>K37+K38+K39</f>
        <v>1996.4500000000016</v>
      </c>
      <c r="L36" s="136"/>
      <c r="M36" s="35">
        <f>E36-березень!E35</f>
        <v>8066</v>
      </c>
      <c r="N36" s="35">
        <f>F36-березень!F35</f>
        <v>3431.470000000001</v>
      </c>
      <c r="O36" s="47">
        <f t="shared" si="3"/>
        <v>-4634.529999999999</v>
      </c>
      <c r="P36" s="50">
        <f t="shared" si="5"/>
        <v>42.54240019836352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1348.41</v>
      </c>
      <c r="G37" s="135">
        <f t="shared" si="0"/>
        <v>1077.41</v>
      </c>
      <c r="H37" s="137">
        <f t="shared" si="4"/>
        <v>497.56826568265683</v>
      </c>
      <c r="I37" s="136">
        <f t="shared" si="1"/>
        <v>348.4100000000001</v>
      </c>
      <c r="J37" s="136">
        <f t="shared" si="11"/>
        <v>134.841</v>
      </c>
      <c r="K37" s="136">
        <f>F37-127.86</f>
        <v>1220.5500000000002</v>
      </c>
      <c r="L37" s="136">
        <f>F37/127.86*100</f>
        <v>1054.5987799155328</v>
      </c>
      <c r="M37" s="35">
        <f>E37-березень!E36</f>
        <v>161</v>
      </c>
      <c r="N37" s="35">
        <f>F37-березень!F36</f>
        <v>822.1300000000001</v>
      </c>
      <c r="O37" s="47">
        <f t="shared" si="3"/>
        <v>661.1300000000001</v>
      </c>
      <c r="P37" s="50">
        <f t="shared" si="5"/>
        <v>510.63975155279513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71</v>
      </c>
      <c r="G38" s="135">
        <f t="shared" si="0"/>
        <v>-179</v>
      </c>
      <c r="H38" s="137"/>
      <c r="I38" s="136">
        <f t="shared" si="1"/>
        <v>-1429</v>
      </c>
      <c r="J38" s="136">
        <f t="shared" si="11"/>
        <v>4.733333333333333</v>
      </c>
      <c r="K38" s="136">
        <f>F38-0</f>
        <v>71</v>
      </c>
      <c r="L38" s="136"/>
      <c r="M38" s="35">
        <f>E38-березень!E37</f>
        <v>250</v>
      </c>
      <c r="N38" s="35">
        <f>F38-березень!F37</f>
        <v>33.3</v>
      </c>
      <c r="O38" s="47">
        <f t="shared" si="3"/>
        <v>-216.7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26622.32</v>
      </c>
      <c r="G39" s="135">
        <f t="shared" si="0"/>
        <v>-4709.68</v>
      </c>
      <c r="H39" s="137">
        <f t="shared" si="4"/>
        <v>84.96846674326567</v>
      </c>
      <c r="I39" s="136">
        <f t="shared" si="1"/>
        <v>-69077.68</v>
      </c>
      <c r="J39" s="136">
        <f t="shared" si="11"/>
        <v>27.81851619644723</v>
      </c>
      <c r="K39" s="139">
        <f>F39-25917.42</f>
        <v>704.9000000000015</v>
      </c>
      <c r="L39" s="139">
        <f>F39/25917.42*100</f>
        <v>102.71979232500767</v>
      </c>
      <c r="M39" s="35">
        <f>E39-березень!E38</f>
        <v>7655</v>
      </c>
      <c r="N39" s="35">
        <f>F39-березень!F38</f>
        <v>2576.040000000001</v>
      </c>
      <c r="O39" s="47">
        <f t="shared" si="3"/>
        <v>-5078.959999999999</v>
      </c>
      <c r="P39" s="50">
        <f t="shared" si="5"/>
        <v>33.651730894839986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20.98</v>
      </c>
      <c r="G40" s="43">
        <f t="shared" si="0"/>
        <v>8.48</v>
      </c>
      <c r="H40" s="35">
        <f t="shared" si="4"/>
        <v>167.84</v>
      </c>
      <c r="I40" s="50">
        <f t="shared" si="1"/>
        <v>-49.019999999999996</v>
      </c>
      <c r="J40" s="178">
        <f t="shared" si="11"/>
        <v>29.97142857142857</v>
      </c>
      <c r="K40" s="178">
        <f>F40-22.12</f>
        <v>-1.1400000000000006</v>
      </c>
      <c r="L40" s="178">
        <f>F40/22.12*100</f>
        <v>94.84629294755877</v>
      </c>
      <c r="M40" s="35">
        <f>E40-березень!E39</f>
        <v>4.5</v>
      </c>
      <c r="N40" s="35">
        <f>F40-березень!F39</f>
        <v>3.3599999999999994</v>
      </c>
      <c r="O40" s="47">
        <f t="shared" si="3"/>
        <v>-1.1400000000000006</v>
      </c>
      <c r="P40" s="50">
        <f t="shared" si="5"/>
        <v>74.66666666666666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-33.13</v>
      </c>
      <c r="G41" s="43">
        <f t="shared" si="0"/>
        <v>-33.13</v>
      </c>
      <c r="H41" s="35"/>
      <c r="I41" s="50">
        <f t="shared" si="1"/>
        <v>-33.13</v>
      </c>
      <c r="J41" s="136"/>
      <c r="K41" s="178">
        <f>F41-2145.36</f>
        <v>-2178.4900000000002</v>
      </c>
      <c r="L41" s="178">
        <f>F41/2145.36*100</f>
        <v>-1.5442629675206025</v>
      </c>
      <c r="M41" s="35">
        <f>E41-березень!E40</f>
        <v>0</v>
      </c>
      <c r="N41" s="35">
        <f>F41-березень!F40</f>
        <v>-46.02</v>
      </c>
      <c r="O41" s="47">
        <f t="shared" si="3"/>
        <v>-46.02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30681.7</v>
      </c>
      <c r="G42" s="43">
        <f t="shared" si="0"/>
        <v>1641.7000000000007</v>
      </c>
      <c r="H42" s="35">
        <f t="shared" si="4"/>
        <v>105.65323691460055</v>
      </c>
      <c r="I42" s="50">
        <f t="shared" si="1"/>
        <v>-37818.3</v>
      </c>
      <c r="J42" s="178">
        <f t="shared" si="11"/>
        <v>44.79080291970803</v>
      </c>
      <c r="K42" s="132">
        <f>F42-26561.84</f>
        <v>4119.860000000001</v>
      </c>
      <c r="L42" s="132">
        <f>F42/26561.84*100</f>
        <v>115.51044656544877</v>
      </c>
      <c r="M42" s="35">
        <f>E42-березень!E41</f>
        <v>5800</v>
      </c>
      <c r="N42" s="35">
        <f>F42-березень!F41</f>
        <v>5343.490000000002</v>
      </c>
      <c r="O42" s="47">
        <f t="shared" si="3"/>
        <v>-456.5099999999984</v>
      </c>
      <c r="P42" s="50">
        <f t="shared" si="5"/>
        <v>92.1291379310345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7481.66</v>
      </c>
      <c r="G44" s="135">
        <f t="shared" si="0"/>
        <v>841.6599999999999</v>
      </c>
      <c r="H44" s="137"/>
      <c r="I44" s="136">
        <f t="shared" si="1"/>
        <v>-9018.34</v>
      </c>
      <c r="J44" s="136">
        <f t="shared" si="11"/>
        <v>45.34339393939394</v>
      </c>
      <c r="K44" s="139">
        <f>F44-6631.94</f>
        <v>849.7200000000003</v>
      </c>
      <c r="L44" s="139">
        <f>F44/6631.94*100</f>
        <v>112.81254052358737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22704.13</v>
      </c>
      <c r="G45" s="135">
        <f t="shared" si="0"/>
        <v>304.130000000001</v>
      </c>
      <c r="H45" s="137"/>
      <c r="I45" s="136">
        <f t="shared" si="1"/>
        <v>-29295.87</v>
      </c>
      <c r="J45" s="136">
        <f t="shared" si="11"/>
        <v>43.661788461538464</v>
      </c>
      <c r="K45" s="139">
        <f>F45-19929.61</f>
        <v>2774.5200000000004</v>
      </c>
      <c r="L45" s="139">
        <f>F45/19929.61*100</f>
        <v>113.92159706085567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4.69</v>
      </c>
      <c r="G46" s="135">
        <f t="shared" si="0"/>
        <v>4.69</v>
      </c>
      <c r="H46" s="137"/>
      <c r="I46" s="136">
        <f t="shared" si="1"/>
        <v>4.69</v>
      </c>
      <c r="J46" s="136" t="e">
        <f t="shared" si="11"/>
        <v>#DIV/0!</v>
      </c>
      <c r="K46" s="139">
        <f>F46-0</f>
        <v>4.69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2005.76</v>
      </c>
      <c r="G47" s="43">
        <f t="shared" si="0"/>
        <v>11.259999999999991</v>
      </c>
      <c r="H47" s="35">
        <f t="shared" si="4"/>
        <v>100.56455251942842</v>
      </c>
      <c r="I47" s="50">
        <f t="shared" si="1"/>
        <v>-5494.24</v>
      </c>
      <c r="J47" s="136">
        <f t="shared" si="11"/>
        <v>26.743466666666666</v>
      </c>
      <c r="K47" s="178">
        <f>F47-2618.43</f>
        <v>-612.6699999999998</v>
      </c>
      <c r="L47" s="178">
        <f>F47/2618.43*100</f>
        <v>76.60162769293049</v>
      </c>
      <c r="M47" s="35">
        <f>E47-березень!E42</f>
        <v>9.099999999999909</v>
      </c>
      <c r="N47" s="35">
        <f>F47-березень!F42</f>
        <v>5.8599999999999</v>
      </c>
      <c r="O47" s="47">
        <f t="shared" si="3"/>
        <v>-3.240000000000009</v>
      </c>
      <c r="P47" s="50">
        <f t="shared" si="5"/>
        <v>64.39560439560394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9902.71</v>
      </c>
      <c r="G53" s="44">
        <f aca="true" t="shared" si="12" ref="G53:G78">F53-E53</f>
        <v>5814.209999999999</v>
      </c>
      <c r="H53" s="45">
        <f>F53/E53*100</f>
        <v>242.20887856181972</v>
      </c>
      <c r="I53" s="31">
        <f aca="true" t="shared" si="13" ref="I53:I78">F53-D53</f>
        <v>-2664.3900000000012</v>
      </c>
      <c r="J53" s="31">
        <f aca="true" t="shared" si="14" ref="J53:J63">F53/D53*100</f>
        <v>78.79868863938377</v>
      </c>
      <c r="K53" s="18">
        <f>K56+K57+K58+K59+K60+K68+K69+K70+K72+K76+K67</f>
        <v>5714.889999999999</v>
      </c>
      <c r="L53" s="18"/>
      <c r="M53" s="18">
        <f>M56+M57+M58+M59+M60+M68+M69+M70+M72+M76+M67+M66</f>
        <v>1052.5</v>
      </c>
      <c r="N53" s="18">
        <f>N56+N57+N58+N59+N60+N68+N69+N70+N72+N76+N67+N66</f>
        <v>2253.43</v>
      </c>
      <c r="O53" s="49">
        <f aca="true" t="shared" si="15" ref="O53:O78">N53-M53</f>
        <v>1200.9299999999998</v>
      </c>
      <c r="P53" s="31">
        <f>N53/M53*100</f>
        <v>214.1026128266033</v>
      </c>
      <c r="Q53" s="31">
        <f>N53-1017.63</f>
        <v>1235.7999999999997</v>
      </c>
      <c r="R53" s="127">
        <f>N53/1017.63</f>
        <v>2.2143902990281337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38.48</v>
      </c>
      <c r="G60" s="43">
        <f t="shared" si="12"/>
        <v>1.4799999999999969</v>
      </c>
      <c r="H60" s="35">
        <f>F60/E60*100</f>
        <v>103.99999999999999</v>
      </c>
      <c r="I60" s="50">
        <f t="shared" si="13"/>
        <v>-101.52000000000001</v>
      </c>
      <c r="J60" s="50">
        <v>10</v>
      </c>
      <c r="K60" s="50">
        <f>F60-34.44</f>
        <v>4.039999999999999</v>
      </c>
      <c r="L60" s="50">
        <f>F60/34.44*100</f>
        <v>111.73054587688733</v>
      </c>
      <c r="M60" s="35">
        <f>E60-березень!E63</f>
        <v>12</v>
      </c>
      <c r="N60" s="35">
        <f>F60-березень!F63</f>
        <v>7.719999999999995</v>
      </c>
      <c r="O60" s="47">
        <f t="shared" si="15"/>
        <v>-4.280000000000005</v>
      </c>
      <c r="P60" s="50">
        <f>N60/M60*100</f>
        <v>64.3333333333333</v>
      </c>
      <c r="Q60" s="50">
        <f>N60-9.02</f>
        <v>-1.3000000000000043</v>
      </c>
      <c r="R60" s="126">
        <f>N60/9.02</f>
        <v>0.8558758314855871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3087.85</v>
      </c>
      <c r="G67" s="43"/>
      <c r="H67" s="35"/>
      <c r="I67" s="50">
        <f t="shared" si="13"/>
        <v>3087.85</v>
      </c>
      <c r="J67" s="50"/>
      <c r="K67" s="50">
        <f>F67-0</f>
        <v>3087.85</v>
      </c>
      <c r="L67" s="50"/>
      <c r="M67" s="35">
        <f>E67-березень!E70</f>
        <v>0</v>
      </c>
      <c r="N67" s="35">
        <f>F67-березень!F70</f>
        <v>559.27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2627.71</v>
      </c>
      <c r="G69" s="43">
        <f t="shared" si="12"/>
        <v>2317.71</v>
      </c>
      <c r="H69" s="35">
        <f>F69/E69*100</f>
        <v>847.6483870967743</v>
      </c>
      <c r="I69" s="50">
        <f t="shared" si="13"/>
        <v>1527.71</v>
      </c>
      <c r="J69" s="50">
        <v>90</v>
      </c>
      <c r="K69" s="50">
        <f>F69-279.59</f>
        <v>2348.12</v>
      </c>
      <c r="L69" s="50">
        <f>F69/279.59*100</f>
        <v>939.8440573697201</v>
      </c>
      <c r="M69" s="35">
        <f>E69-березень!E72</f>
        <v>80</v>
      </c>
      <c r="N69" s="35">
        <f>F69-березень!F72</f>
        <v>445.73</v>
      </c>
      <c r="O69" s="47">
        <f t="shared" si="15"/>
        <v>365.73</v>
      </c>
      <c r="P69" s="50">
        <f>N69/M69*100</f>
        <v>557.1625</v>
      </c>
      <c r="Q69" s="50">
        <f>N69-79.51</f>
        <v>366.22</v>
      </c>
      <c r="R69" s="126">
        <f>N69/79.51</f>
        <v>5.6059615142749335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1382.95</v>
      </c>
      <c r="G72" s="43">
        <f t="shared" si="12"/>
        <v>112.95000000000005</v>
      </c>
      <c r="H72" s="35">
        <f>F72/E72*100</f>
        <v>108.89370078740157</v>
      </c>
      <c r="I72" s="50">
        <f t="shared" si="13"/>
        <v>-2817.05</v>
      </c>
      <c r="J72" s="50">
        <f>F72/D72*100</f>
        <v>32.92738095238095</v>
      </c>
      <c r="K72" s="50">
        <f>F72-1238.46</f>
        <v>144.49</v>
      </c>
      <c r="L72" s="50">
        <f>F72/1238.46*100</f>
        <v>111.66690890299242</v>
      </c>
      <c r="M72" s="35">
        <f>E72-березень!E75</f>
        <v>320</v>
      </c>
      <c r="N72" s="35">
        <f>F72-березень!F75</f>
        <v>422.48</v>
      </c>
      <c r="O72" s="47">
        <f t="shared" si="15"/>
        <v>102.48000000000002</v>
      </c>
      <c r="P72" s="50">
        <f t="shared" si="16"/>
        <v>132.025</v>
      </c>
      <c r="Q72" s="50">
        <f>N72-277.38</f>
        <v>145.10000000000002</v>
      </c>
      <c r="R72" s="126">
        <f>N72/277.38</f>
        <v>1.5231090922200592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297.9</v>
      </c>
      <c r="G75" s="135">
        <f t="shared" si="12"/>
        <v>297.9</v>
      </c>
      <c r="H75" s="137"/>
      <c r="I75" s="136">
        <f t="shared" si="13"/>
        <v>297.9</v>
      </c>
      <c r="J75" s="136"/>
      <c r="K75" s="136">
        <f>F75-234.45</f>
        <v>63.44999999999999</v>
      </c>
      <c r="L75" s="138">
        <f>F75/234.45*100</f>
        <v>127.06333973128598</v>
      </c>
      <c r="M75" s="35">
        <f>E75-березень!E78</f>
        <v>0</v>
      </c>
      <c r="N75" s="35">
        <f>F75-березень!F78</f>
        <v>58.29999999999998</v>
      </c>
      <c r="O75" s="138">
        <f t="shared" si="15"/>
        <v>58.29999999999998</v>
      </c>
      <c r="P75" s="136"/>
      <c r="Q75" s="50">
        <f>N75-64.93</f>
        <v>-6.630000000000024</v>
      </c>
      <c r="R75" s="126">
        <f>N75/64.93</f>
        <v>0.8978900354227626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180583.33</v>
      </c>
      <c r="G79" s="44">
        <f>F79-E79</f>
        <v>-908.5</v>
      </c>
      <c r="H79" s="45">
        <f>F79/E79*100</f>
        <v>99.49942650311036</v>
      </c>
      <c r="I79" s="31">
        <f>F79-D79</f>
        <v>-349439.27</v>
      </c>
      <c r="J79" s="31">
        <f>F79/D79*100</f>
        <v>34.070873581617086</v>
      </c>
      <c r="K79" s="31">
        <f>K8+K53+K77+K78</f>
        <v>24741.390000000003</v>
      </c>
      <c r="L79" s="31"/>
      <c r="M79" s="18">
        <f>M8+M53+M77+M78</f>
        <v>42791.049999999996</v>
      </c>
      <c r="N79" s="18">
        <f>N8+N53+N77+N78</f>
        <v>33445.15000000001</v>
      </c>
      <c r="O79" s="49">
        <f>N79-M79</f>
        <v>-9345.899999999987</v>
      </c>
      <c r="P79" s="31">
        <f>N79/M79*100</f>
        <v>78.15921787383112</v>
      </c>
      <c r="Q79" s="31">
        <f>N79-34768</f>
        <v>-1322.8499999999913</v>
      </c>
      <c r="R79" s="171">
        <f>N79/34768</f>
        <v>0.9619520823745976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4.38</v>
      </c>
      <c r="G84" s="43"/>
      <c r="H84" s="35"/>
      <c r="I84" s="53"/>
      <c r="J84" s="53"/>
      <c r="K84" s="53"/>
      <c r="L84" s="53"/>
      <c r="M84" s="36"/>
      <c r="N84" s="36">
        <f>F84</f>
        <v>4.38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-10.27</v>
      </c>
      <c r="G86" s="55">
        <f t="shared" si="17"/>
        <v>-10.27</v>
      </c>
      <c r="H86" s="65"/>
      <c r="I86" s="54">
        <f t="shared" si="18"/>
        <v>-10.27</v>
      </c>
      <c r="J86" s="54"/>
      <c r="K86" s="54">
        <f>F86-(-111.2)</f>
        <v>100.93</v>
      </c>
      <c r="L86" s="54">
        <f>F86/223.32*100</f>
        <v>-4.598782016836826</v>
      </c>
      <c r="M86" s="55">
        <f>M85</f>
        <v>0</v>
      </c>
      <c r="N86" s="33">
        <f>SUM(N84:N85)</f>
        <v>4.38</v>
      </c>
      <c r="O86" s="54">
        <f t="shared" si="19"/>
        <v>4.38</v>
      </c>
      <c r="P86" s="54"/>
      <c r="Q86" s="54">
        <f>N86-92.85</f>
        <v>-88.47</v>
      </c>
      <c r="R86" s="130">
        <f>N86/92.85</f>
        <v>0.04717285945072698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1724.11</v>
      </c>
      <c r="G89" s="43">
        <f t="shared" si="17"/>
        <v>225.12999999999988</v>
      </c>
      <c r="H89" s="35">
        <f t="shared" si="20"/>
        <v>115.01887950472987</v>
      </c>
      <c r="I89" s="53">
        <f t="shared" si="18"/>
        <v>-9851.89</v>
      </c>
      <c r="J89" s="53">
        <f t="shared" si="21"/>
        <v>14.89383206634416</v>
      </c>
      <c r="K89" s="53">
        <f>F89-1487.49</f>
        <v>236.6199999999999</v>
      </c>
      <c r="L89" s="53">
        <f>F89/1487.49*100</f>
        <v>115.90733383081566</v>
      </c>
      <c r="M89" s="35">
        <f>E89-березень!E91</f>
        <v>960.85</v>
      </c>
      <c r="N89" s="35">
        <f>F89-березень!F91</f>
        <v>314.3299999999999</v>
      </c>
      <c r="O89" s="47">
        <f t="shared" si="19"/>
        <v>-646.5200000000001</v>
      </c>
      <c r="P89" s="53">
        <f>N89/M89*100</f>
        <v>32.713743040016645</v>
      </c>
      <c r="Q89" s="53">
        <f>N89-450.01</f>
        <v>-135.68000000000006</v>
      </c>
      <c r="R89" s="129">
        <f>N89/450.01</f>
        <v>0.6984955889869112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11.28</v>
      </c>
      <c r="G90" s="43">
        <f t="shared" si="17"/>
        <v>-433.02000000000004</v>
      </c>
      <c r="H90" s="35">
        <f t="shared" si="20"/>
        <v>2.5388251181634027</v>
      </c>
      <c r="I90" s="53">
        <f t="shared" si="18"/>
        <v>-2988.72</v>
      </c>
      <c r="J90" s="53">
        <f t="shared" si="21"/>
        <v>0.376</v>
      </c>
      <c r="K90" s="53">
        <f>F90-577.27</f>
        <v>-565.99</v>
      </c>
      <c r="L90" s="53">
        <f>F90/577.27*100</f>
        <v>1.954024979645573</v>
      </c>
      <c r="M90" s="35">
        <f>E90-березень!E92</f>
        <v>148.10000000000002</v>
      </c>
      <c r="N90" s="35">
        <f>F90-березень!F92</f>
        <v>0.21999999999999886</v>
      </c>
      <c r="O90" s="47">
        <f t="shared" si="19"/>
        <v>-147.88000000000002</v>
      </c>
      <c r="P90" s="53">
        <f>N90/M90*100</f>
        <v>0.14854827819041108</v>
      </c>
      <c r="Q90" s="53">
        <f>N90-1.05</f>
        <v>-0.8300000000000012</v>
      </c>
      <c r="R90" s="129">
        <f>N90/1.05</f>
        <v>0.20952380952380842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1827.11</v>
      </c>
      <c r="G91" s="55">
        <f t="shared" si="17"/>
        <v>-186.17000000000007</v>
      </c>
      <c r="H91" s="65">
        <f t="shared" si="20"/>
        <v>90.75290073909242</v>
      </c>
      <c r="I91" s="54">
        <f t="shared" si="18"/>
        <v>-15248.89</v>
      </c>
      <c r="J91" s="54">
        <f t="shared" si="21"/>
        <v>10.699871164207075</v>
      </c>
      <c r="K91" s="54">
        <f>F91-3499.76</f>
        <v>-1672.6500000000003</v>
      </c>
      <c r="L91" s="54">
        <f>F91/3499.96*100</f>
        <v>52.20373947130824</v>
      </c>
      <c r="M91" s="55">
        <f>M88+M89+M90</f>
        <v>1178.9499999999998</v>
      </c>
      <c r="N91" s="55">
        <f>N88+N89+N90</f>
        <v>372.79999999999995</v>
      </c>
      <c r="O91" s="54">
        <f t="shared" si="19"/>
        <v>-806.1499999999999</v>
      </c>
      <c r="P91" s="54">
        <f>N91/M91*100</f>
        <v>31.621357988040206</v>
      </c>
      <c r="Q91" s="54">
        <f>N91-7985.28</f>
        <v>-7612.48</v>
      </c>
      <c r="R91" s="173">
        <f>N91/7985.28</f>
        <v>0.04668590205979001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13.03</v>
      </c>
      <c r="G97" s="43">
        <f>F97-E97</f>
        <v>0.2400000000000002</v>
      </c>
      <c r="H97" s="35">
        <f>F97/E97*100</f>
        <v>101.87646598905395</v>
      </c>
      <c r="I97" s="53">
        <f>F97-D97</f>
        <v>-28.97</v>
      </c>
      <c r="J97" s="53">
        <f>F97/D97*100</f>
        <v>31.02380952380952</v>
      </c>
      <c r="K97" s="53">
        <f>F97-12.19</f>
        <v>0.8399999999999999</v>
      </c>
      <c r="L97" s="53">
        <f>F97/12.19*100</f>
        <v>106.89089417555373</v>
      </c>
      <c r="M97" s="35">
        <f>E97-березень!E99</f>
        <v>1.1999999999999993</v>
      </c>
      <c r="N97" s="35">
        <f>F97-березень!F99</f>
        <v>0.08000000000000007</v>
      </c>
      <c r="O97" s="47">
        <f>N97-M97</f>
        <v>-1.1199999999999992</v>
      </c>
      <c r="P97" s="53">
        <f>N97/M97*100</f>
        <v>6.666666666666677</v>
      </c>
      <c r="Q97" s="53">
        <f>N97-0.45</f>
        <v>-0.36999999999999994</v>
      </c>
      <c r="R97" s="129">
        <f>N97/0.45</f>
        <v>0.17777777777777792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1830.6499999999999</v>
      </c>
      <c r="G99" s="44">
        <f>F99-E99</f>
        <v>-214.42000000000007</v>
      </c>
      <c r="H99" s="45">
        <f>F99/E99*100</f>
        <v>89.51527331582781</v>
      </c>
      <c r="I99" s="31">
        <f>F99-D99</f>
        <v>-15341.35</v>
      </c>
      <c r="J99" s="31">
        <f>F99/D99*100</f>
        <v>10.660668530165385</v>
      </c>
      <c r="K99" s="31">
        <f>K86+K91+K96+K97</f>
        <v>-1597.4400000000003</v>
      </c>
      <c r="L99" s="31"/>
      <c r="M99" s="27">
        <f>M86+M97+M91+M96</f>
        <v>1195.1499999999999</v>
      </c>
      <c r="N99" s="27">
        <f>N86+N97+N91+N96+N98</f>
        <v>377.4599999999999</v>
      </c>
      <c r="O99" s="31">
        <f>N99-M99</f>
        <v>-817.6899999999999</v>
      </c>
      <c r="P99" s="31">
        <f>N99/M99*100</f>
        <v>31.5826465297243</v>
      </c>
      <c r="Q99" s="31">
        <f>N99-8104.96</f>
        <v>-7727.5</v>
      </c>
      <c r="R99" s="127">
        <f>N99/8104.96</f>
        <v>0.04657148215413771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182413.97999999998</v>
      </c>
      <c r="G100" s="44">
        <f>F100-E100</f>
        <v>-1122.9200000000128</v>
      </c>
      <c r="H100" s="45">
        <f>F100/E100*100</f>
        <v>99.38817752724384</v>
      </c>
      <c r="I100" s="31">
        <f>F100-D100</f>
        <v>-364780.62</v>
      </c>
      <c r="J100" s="31">
        <f>F100/D100*100</f>
        <v>33.33621713372171</v>
      </c>
      <c r="K100" s="31">
        <f>K79+K99</f>
        <v>23143.950000000004</v>
      </c>
      <c r="L100" s="31"/>
      <c r="M100" s="18">
        <f>M79+M99</f>
        <v>43986.2</v>
      </c>
      <c r="N100" s="18">
        <f>N79+N99</f>
        <v>33822.61000000001</v>
      </c>
      <c r="O100" s="31">
        <f>N100-M100</f>
        <v>-10163.58999999999</v>
      </c>
      <c r="P100" s="31">
        <f>N100/M100*100</f>
        <v>76.89368483751724</v>
      </c>
      <c r="Q100" s="31">
        <f>N100-42872.96</f>
        <v>-9050.349999999991</v>
      </c>
      <c r="R100" s="127">
        <f>N100/42872.96</f>
        <v>0.7889030755049339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6</v>
      </c>
      <c r="D102" s="4" t="s">
        <v>118</v>
      </c>
    </row>
    <row r="103" spans="2:17" ht="31.5">
      <c r="B103" s="71" t="s">
        <v>154</v>
      </c>
      <c r="C103" s="34">
        <f>IF(O79&lt;0,ABS(O79/C102),0)</f>
        <v>1557.6499999999978</v>
      </c>
      <c r="D103" s="4" t="s">
        <v>104</v>
      </c>
      <c r="G103" s="214"/>
      <c r="H103" s="214"/>
      <c r="I103" s="214"/>
      <c r="J103" s="214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42116</v>
      </c>
      <c r="D104" s="34">
        <v>3201.7</v>
      </c>
      <c r="N104" s="215"/>
      <c r="O104" s="215"/>
    </row>
    <row r="105" spans="3:15" ht="15.75">
      <c r="C105" s="111">
        <v>42115</v>
      </c>
      <c r="D105" s="34">
        <v>2262.5</v>
      </c>
      <c r="F105" s="155" t="s">
        <v>166</v>
      </c>
      <c r="G105" s="216"/>
      <c r="H105" s="216"/>
      <c r="I105" s="177"/>
      <c r="J105" s="186"/>
      <c r="K105" s="186"/>
      <c r="L105" s="186"/>
      <c r="M105" s="186"/>
      <c r="N105" s="215"/>
      <c r="O105" s="215"/>
    </row>
    <row r="106" spans="3:15" ht="15.75" customHeight="1">
      <c r="C106" s="111">
        <v>42114</v>
      </c>
      <c r="D106" s="34">
        <v>2354.2</v>
      </c>
      <c r="G106" s="218" t="s">
        <v>151</v>
      </c>
      <c r="H106" s="218"/>
      <c r="I106" s="106">
        <v>8909.73221</v>
      </c>
      <c r="J106" s="219"/>
      <c r="K106" s="219"/>
      <c r="L106" s="219"/>
      <c r="M106" s="219"/>
      <c r="N106" s="215"/>
      <c r="O106" s="215"/>
    </row>
    <row r="107" spans="7:13" ht="15.75" customHeight="1">
      <c r="G107" s="220" t="s">
        <v>234</v>
      </c>
      <c r="H107" s="221"/>
      <c r="I107" s="103">
        <v>0</v>
      </c>
      <c r="J107" s="186"/>
      <c r="K107" s="186"/>
      <c r="L107" s="186"/>
      <c r="M107" s="186"/>
    </row>
    <row r="108" spans="2:13" ht="18.75" customHeight="1">
      <c r="B108" s="222" t="s">
        <v>160</v>
      </c>
      <c r="C108" s="223"/>
      <c r="D108" s="108">
        <v>146930.05365000002</v>
      </c>
      <c r="E108" s="73"/>
      <c r="F108" s="156" t="s">
        <v>147</v>
      </c>
      <c r="G108" s="218" t="s">
        <v>149</v>
      </c>
      <c r="H108" s="218"/>
      <c r="I108" s="107">
        <v>138020.32144</v>
      </c>
      <c r="J108" s="186"/>
      <c r="K108" s="186"/>
      <c r="L108" s="186"/>
      <c r="M108" s="186"/>
    </row>
    <row r="109" spans="7:12" ht="9.75" customHeight="1">
      <c r="G109" s="216"/>
      <c r="H109" s="216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16"/>
      <c r="H110" s="216"/>
      <c r="I110" s="90"/>
      <c r="J110" s="91"/>
      <c r="K110" s="91"/>
      <c r="L110" s="91"/>
    </row>
    <row r="111" spans="4:15" ht="15.75">
      <c r="D111" s="105"/>
      <c r="N111" s="216"/>
      <c r="O111" s="216"/>
    </row>
    <row r="112" spans="4:15" ht="15.75">
      <c r="D112" s="104"/>
      <c r="I112" s="34"/>
      <c r="N112" s="226"/>
      <c r="O112" s="226"/>
    </row>
    <row r="113" spans="14:15" ht="15.75">
      <c r="N113" s="216"/>
      <c r="O113" s="216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9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/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231</v>
      </c>
      <c r="N3" s="201" t="s">
        <v>232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228</v>
      </c>
      <c r="F4" s="206" t="s">
        <v>116</v>
      </c>
      <c r="G4" s="208" t="s">
        <v>229</v>
      </c>
      <c r="H4" s="210" t="s">
        <v>230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236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233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4"/>
      <c r="H104" s="214"/>
      <c r="I104" s="214"/>
      <c r="J104" s="21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15"/>
      <c r="O105" s="215"/>
    </row>
    <row r="106" spans="3:15" ht="15.75">
      <c r="C106" s="111">
        <v>42093</v>
      </c>
      <c r="D106" s="34">
        <v>8025</v>
      </c>
      <c r="F106" s="155" t="s">
        <v>166</v>
      </c>
      <c r="G106" s="216"/>
      <c r="H106" s="216"/>
      <c r="I106" s="177"/>
      <c r="J106" s="186"/>
      <c r="K106" s="186"/>
      <c r="L106" s="186"/>
      <c r="M106" s="186"/>
      <c r="N106" s="215"/>
      <c r="O106" s="215"/>
    </row>
    <row r="107" spans="3:15" ht="15.75" customHeight="1">
      <c r="C107" s="111">
        <v>42090</v>
      </c>
      <c r="D107" s="34">
        <v>4282.6</v>
      </c>
      <c r="G107" s="218" t="s">
        <v>151</v>
      </c>
      <c r="H107" s="218"/>
      <c r="I107" s="106">
        <f>8909732.21/1000</f>
        <v>8909.73221</v>
      </c>
      <c r="J107" s="219"/>
      <c r="K107" s="219"/>
      <c r="L107" s="219"/>
      <c r="M107" s="219"/>
      <c r="N107" s="215"/>
      <c r="O107" s="215"/>
    </row>
    <row r="108" spans="7:13" ht="15.75" customHeight="1">
      <c r="G108" s="220" t="s">
        <v>234</v>
      </c>
      <c r="H108" s="221"/>
      <c r="I108" s="103">
        <v>0</v>
      </c>
      <c r="J108" s="186"/>
      <c r="K108" s="186"/>
      <c r="L108" s="186"/>
      <c r="M108" s="186"/>
    </row>
    <row r="109" spans="2:13" ht="18.75" customHeight="1">
      <c r="B109" s="222" t="s">
        <v>160</v>
      </c>
      <c r="C109" s="223"/>
      <c r="D109" s="108">
        <f>147433239.77/1000</f>
        <v>147433.23977000001</v>
      </c>
      <c r="E109" s="73"/>
      <c r="F109" s="156" t="s">
        <v>147</v>
      </c>
      <c r="G109" s="218" t="s">
        <v>149</v>
      </c>
      <c r="H109" s="218"/>
      <c r="I109" s="107">
        <f>138523507.56/1000</f>
        <v>138523.50756</v>
      </c>
      <c r="J109" s="186"/>
      <c r="K109" s="186"/>
      <c r="L109" s="186"/>
      <c r="M109" s="186"/>
    </row>
    <row r="110" spans="7:12" ht="9.75" customHeight="1">
      <c r="G110" s="216"/>
      <c r="H110" s="216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16"/>
      <c r="H111" s="216"/>
      <c r="I111" s="90"/>
      <c r="J111" s="91"/>
      <c r="K111" s="91"/>
      <c r="L111" s="91"/>
    </row>
    <row r="112" spans="4:15" ht="15.75">
      <c r="D112" s="105"/>
      <c r="N112" s="216"/>
      <c r="O112" s="216"/>
    </row>
    <row r="113" spans="4:15" ht="15.75">
      <c r="D113" s="104"/>
      <c r="I113" s="34"/>
      <c r="N113" s="226"/>
      <c r="O113" s="226"/>
    </row>
    <row r="114" spans="14:15" ht="15.75">
      <c r="N114" s="216"/>
      <c r="O114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205</v>
      </c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221</v>
      </c>
      <c r="N3" s="201" t="s">
        <v>202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199</v>
      </c>
      <c r="F4" s="206" t="s">
        <v>116</v>
      </c>
      <c r="G4" s="208" t="s">
        <v>200</v>
      </c>
      <c r="H4" s="210" t="s">
        <v>201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226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224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4"/>
      <c r="H104" s="214"/>
      <c r="I104" s="214"/>
      <c r="J104" s="21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15"/>
      <c r="O105" s="215"/>
    </row>
    <row r="106" spans="3:15" ht="15.75">
      <c r="C106" s="111">
        <v>42061</v>
      </c>
      <c r="D106" s="34">
        <v>6003.3</v>
      </c>
      <c r="F106" s="155" t="s">
        <v>166</v>
      </c>
      <c r="G106" s="216"/>
      <c r="H106" s="216"/>
      <c r="I106" s="177"/>
      <c r="J106" s="186"/>
      <c r="K106" s="186"/>
      <c r="L106" s="186"/>
      <c r="M106" s="186"/>
      <c r="N106" s="215"/>
      <c r="O106" s="215"/>
    </row>
    <row r="107" spans="3:15" ht="15.75" customHeight="1">
      <c r="C107" s="111">
        <v>42060</v>
      </c>
      <c r="D107" s="34">
        <v>1551.3</v>
      </c>
      <c r="G107" s="218" t="s">
        <v>151</v>
      </c>
      <c r="H107" s="218"/>
      <c r="I107" s="106">
        <v>8909.73221</v>
      </c>
      <c r="J107" s="219"/>
      <c r="K107" s="219"/>
      <c r="L107" s="219"/>
      <c r="M107" s="219"/>
      <c r="N107" s="215"/>
      <c r="O107" s="215"/>
    </row>
    <row r="108" spans="7:13" ht="15.75" customHeight="1">
      <c r="G108" s="227" t="s">
        <v>155</v>
      </c>
      <c r="H108" s="227"/>
      <c r="I108" s="103">
        <v>0</v>
      </c>
      <c r="J108" s="186"/>
      <c r="K108" s="186"/>
      <c r="L108" s="186"/>
      <c r="M108" s="186"/>
    </row>
    <row r="109" spans="2:13" ht="18.75" customHeight="1">
      <c r="B109" s="222" t="s">
        <v>160</v>
      </c>
      <c r="C109" s="223"/>
      <c r="D109" s="108">
        <f>138305956.27/1000</f>
        <v>138305.95627000002</v>
      </c>
      <c r="E109" s="73"/>
      <c r="F109" s="156" t="s">
        <v>147</v>
      </c>
      <c r="G109" s="218" t="s">
        <v>149</v>
      </c>
      <c r="H109" s="218"/>
      <c r="I109" s="107">
        <v>129396.23</v>
      </c>
      <c r="J109" s="186"/>
      <c r="K109" s="186"/>
      <c r="L109" s="186"/>
      <c r="M109" s="186"/>
    </row>
    <row r="110" spans="7:12" ht="9.75" customHeight="1">
      <c r="G110" s="216"/>
      <c r="H110" s="216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16"/>
      <c r="H111" s="216"/>
      <c r="I111" s="90"/>
      <c r="J111" s="91"/>
      <c r="K111" s="91"/>
      <c r="L111" s="91"/>
    </row>
    <row r="112" spans="4:15" ht="15.75">
      <c r="D112" s="105"/>
      <c r="N112" s="216"/>
      <c r="O112" s="216"/>
    </row>
    <row r="113" spans="4:15" ht="15.75">
      <c r="D113" s="104"/>
      <c r="I113" s="34"/>
      <c r="N113" s="226"/>
      <c r="O113" s="226"/>
    </row>
    <row r="114" spans="14:15" ht="15.75">
      <c r="N114" s="216"/>
      <c r="O114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205</v>
      </c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220</v>
      </c>
      <c r="N3" s="201" t="s">
        <v>175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219</v>
      </c>
      <c r="F4" s="206" t="s">
        <v>116</v>
      </c>
      <c r="G4" s="208" t="s">
        <v>173</v>
      </c>
      <c r="H4" s="234" t="s">
        <v>174</v>
      </c>
      <c r="I4" s="232" t="s">
        <v>217</v>
      </c>
      <c r="J4" s="230" t="s">
        <v>218</v>
      </c>
      <c r="K4" s="116" t="s">
        <v>172</v>
      </c>
      <c r="L4" s="121" t="s">
        <v>171</v>
      </c>
      <c r="M4" s="199"/>
      <c r="N4" s="187" t="s">
        <v>194</v>
      </c>
      <c r="O4" s="232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35"/>
      <c r="I5" s="233"/>
      <c r="J5" s="231"/>
      <c r="K5" s="204" t="s">
        <v>188</v>
      </c>
      <c r="L5" s="205"/>
      <c r="M5" s="200"/>
      <c r="N5" s="185"/>
      <c r="O5" s="233"/>
      <c r="P5" s="201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4"/>
      <c r="H102" s="214"/>
      <c r="I102" s="214"/>
      <c r="J102" s="21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15"/>
      <c r="O103" s="215"/>
    </row>
    <row r="104" spans="3:15" ht="15.75">
      <c r="C104" s="111">
        <v>42033</v>
      </c>
      <c r="D104" s="34">
        <v>2896.5</v>
      </c>
      <c r="F104" s="155" t="s">
        <v>166</v>
      </c>
      <c r="G104" s="218" t="s">
        <v>151</v>
      </c>
      <c r="H104" s="218"/>
      <c r="I104" s="106">
        <f>'січень '!I139</f>
        <v>8909.733</v>
      </c>
      <c r="J104" s="228" t="s">
        <v>161</v>
      </c>
      <c r="K104" s="228"/>
      <c r="L104" s="228"/>
      <c r="M104" s="228"/>
      <c r="N104" s="215"/>
      <c r="O104" s="215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29" t="s">
        <v>162</v>
      </c>
      <c r="K105" s="229"/>
      <c r="L105" s="229"/>
      <c r="M105" s="229"/>
      <c r="N105" s="215"/>
      <c r="O105" s="215"/>
    </row>
    <row r="106" spans="7:13" ht="15.75" customHeight="1">
      <c r="G106" s="218" t="s">
        <v>148</v>
      </c>
      <c r="H106" s="218"/>
      <c r="I106" s="103">
        <f>'січень '!I141</f>
        <v>0</v>
      </c>
      <c r="J106" s="228" t="s">
        <v>163</v>
      </c>
      <c r="K106" s="228"/>
      <c r="L106" s="228"/>
      <c r="M106" s="228"/>
    </row>
    <row r="107" spans="2:13" ht="18.75" customHeight="1">
      <c r="B107" s="222" t="s">
        <v>160</v>
      </c>
      <c r="C107" s="223"/>
      <c r="D107" s="108">
        <f>'січень '!D142</f>
        <v>132375.63</v>
      </c>
      <c r="E107" s="73"/>
      <c r="F107" s="156" t="s">
        <v>147</v>
      </c>
      <c r="G107" s="218" t="s">
        <v>149</v>
      </c>
      <c r="H107" s="218"/>
      <c r="I107" s="107">
        <f>'січень '!I142</f>
        <v>123465.893</v>
      </c>
      <c r="J107" s="228" t="s">
        <v>164</v>
      </c>
      <c r="K107" s="228"/>
      <c r="L107" s="228"/>
      <c r="M107" s="228"/>
    </row>
    <row r="108" spans="7:12" ht="9.75" customHeight="1">
      <c r="G108" s="216"/>
      <c r="H108" s="216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16"/>
      <c r="H109" s="216"/>
      <c r="I109" s="90"/>
      <c r="J109" s="91"/>
      <c r="K109" s="91"/>
      <c r="L109" s="91"/>
    </row>
    <row r="110" spans="4:15" ht="15.75">
      <c r="D110" s="105"/>
      <c r="N110" s="216"/>
      <c r="O110" s="216"/>
    </row>
    <row r="111" spans="4:15" ht="15.75">
      <c r="D111" s="104"/>
      <c r="I111" s="34"/>
      <c r="N111" s="226"/>
      <c r="O111" s="226"/>
    </row>
    <row r="112" spans="14:15" ht="15.75">
      <c r="N112" s="216"/>
      <c r="O112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203</v>
      </c>
      <c r="C3" s="193" t="s">
        <v>0</v>
      </c>
      <c r="D3" s="194" t="s">
        <v>190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187</v>
      </c>
      <c r="N3" s="201" t="s">
        <v>175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153</v>
      </c>
      <c r="F4" s="206" t="s">
        <v>116</v>
      </c>
      <c r="G4" s="208" t="s">
        <v>173</v>
      </c>
      <c r="H4" s="234" t="s">
        <v>174</v>
      </c>
      <c r="I4" s="232" t="s">
        <v>186</v>
      </c>
      <c r="J4" s="230" t="s">
        <v>189</v>
      </c>
      <c r="K4" s="116" t="s">
        <v>172</v>
      </c>
      <c r="L4" s="121" t="s">
        <v>171</v>
      </c>
      <c r="M4" s="199"/>
      <c r="N4" s="187" t="s">
        <v>194</v>
      </c>
      <c r="O4" s="232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35"/>
      <c r="I5" s="233"/>
      <c r="J5" s="231"/>
      <c r="K5" s="204" t="s">
        <v>188</v>
      </c>
      <c r="L5" s="205"/>
      <c r="M5" s="200"/>
      <c r="N5" s="185"/>
      <c r="O5" s="233"/>
      <c r="P5" s="201"/>
      <c r="Q5" s="204" t="s">
        <v>176</v>
      </c>
      <c r="R5" s="20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4"/>
      <c r="H137" s="214"/>
      <c r="I137" s="214"/>
      <c r="J137" s="21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15"/>
      <c r="O138" s="215"/>
    </row>
    <row r="139" spans="3:15" ht="15.75">
      <c r="C139" s="111">
        <v>42033</v>
      </c>
      <c r="D139" s="34">
        <v>2896.5</v>
      </c>
      <c r="F139" s="155" t="s">
        <v>166</v>
      </c>
      <c r="G139" s="218" t="s">
        <v>151</v>
      </c>
      <c r="H139" s="218"/>
      <c r="I139" s="106">
        <f>8909.733</f>
        <v>8909.733</v>
      </c>
      <c r="J139" s="228" t="s">
        <v>161</v>
      </c>
      <c r="K139" s="228"/>
      <c r="L139" s="228"/>
      <c r="M139" s="228"/>
      <c r="N139" s="215"/>
      <c r="O139" s="215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29" t="s">
        <v>162</v>
      </c>
      <c r="K140" s="229"/>
      <c r="L140" s="229"/>
      <c r="M140" s="229"/>
      <c r="N140" s="215"/>
      <c r="O140" s="215"/>
    </row>
    <row r="141" spans="7:13" ht="15.75" customHeight="1">
      <c r="G141" s="218" t="s">
        <v>148</v>
      </c>
      <c r="H141" s="218"/>
      <c r="I141" s="103">
        <v>0</v>
      </c>
      <c r="J141" s="228" t="s">
        <v>163</v>
      </c>
      <c r="K141" s="228"/>
      <c r="L141" s="228"/>
      <c r="M141" s="228"/>
    </row>
    <row r="142" spans="2:13" ht="18.75" customHeight="1">
      <c r="B142" s="222" t="s">
        <v>160</v>
      </c>
      <c r="C142" s="223"/>
      <c r="D142" s="108">
        <f>132375.63</f>
        <v>132375.63</v>
      </c>
      <c r="E142" s="73"/>
      <c r="F142" s="156" t="s">
        <v>147</v>
      </c>
      <c r="G142" s="218" t="s">
        <v>149</v>
      </c>
      <c r="H142" s="218"/>
      <c r="I142" s="107">
        <f>123465.893</f>
        <v>123465.893</v>
      </c>
      <c r="J142" s="228" t="s">
        <v>164</v>
      </c>
      <c r="K142" s="228"/>
      <c r="L142" s="228"/>
      <c r="M142" s="228"/>
    </row>
    <row r="143" spans="7:12" ht="9.75" customHeight="1">
      <c r="G143" s="216"/>
      <c r="H143" s="216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16"/>
      <c r="H144" s="216"/>
      <c r="I144" s="90"/>
      <c r="J144" s="91"/>
      <c r="K144" s="91"/>
      <c r="L144" s="91"/>
    </row>
    <row r="145" spans="4:15" ht="15.75">
      <c r="D145" s="105"/>
      <c r="N145" s="216"/>
      <c r="O145" s="216"/>
    </row>
    <row r="146" spans="4:15" ht="15.75">
      <c r="D146" s="104"/>
      <c r="I146" s="34"/>
      <c r="N146" s="226"/>
      <c r="O146" s="226"/>
    </row>
    <row r="147" spans="14:15" ht="15.75">
      <c r="N147" s="216"/>
      <c r="O147" s="21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2015-04-22T07:18:32Z</cp:lastPrinted>
  <dcterms:created xsi:type="dcterms:W3CDTF">2003-07-28T11:27:56Z</dcterms:created>
  <dcterms:modified xsi:type="dcterms:W3CDTF">2015-04-23T08:09:25Z</dcterms:modified>
  <cp:category/>
  <cp:version/>
  <cp:contentType/>
  <cp:contentStatus/>
</cp:coreProperties>
</file>